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0" windowWidth="25600" windowHeight="16060" tabRatio="500" activeTab="0"/>
  </bookViews>
  <sheets>
    <sheet name="Sheet1" sheetId="1" r:id="rId1"/>
  </sheets>
  <definedNames>
    <definedName name="aging">'Sheet1'!$E:$E</definedName>
    <definedName name="CatAdoptionRate">'Sheet1'!$AW$20</definedName>
    <definedName name="CatDeathFactor">'Sheet1'!$AW$24</definedName>
    <definedName name="CatHad">'Sheet1'!$AK:$AK</definedName>
    <definedName name="CatHave">'Sheet1'!$AJ:$AJ</definedName>
    <definedName name="change">'Sheet1'!$F:$F</definedName>
    <definedName name="constant">'Sheet1'!$X$16</definedName>
    <definedName name="deathfac">'Sheet1'!$N$34</definedName>
    <definedName name="dhad">'Sheet1'!$G:$G</definedName>
    <definedName name="dhave">'Sheet1'!$F:$F</definedName>
    <definedName name="dog">'Sheet1'!$F:$F</definedName>
    <definedName name="dogadoptt">'Sheet1'!$T$12</definedName>
    <definedName name="dogdeath">'Sheet1'!$Q$5</definedName>
    <definedName name="dogiv">'Sheet1'!$Y$36</definedName>
    <definedName name="dt">'Sheet1'!$X$9</definedName>
    <definedName name="expression">'Sheet1'!$Y$4</definedName>
    <definedName name="factor">'Sheet1'!$X$14</definedName>
    <definedName name="fraction">'Sheet1'!$X$13</definedName>
    <definedName name="ivmean">'Sheet1'!$K$36</definedName>
    <definedName name="KittenAging">'Sheet1'!$AI:$AI</definedName>
    <definedName name="KittenAgingFactor">'Sheet1'!$AW$16</definedName>
    <definedName name="KittenBrought">'Sheet1'!$AW$21</definedName>
    <definedName name="KittenHad">'Sheet1'!$AH:$AH</definedName>
    <definedName name="KittenHave">'Sheet1'!$AG:$AG</definedName>
    <definedName name="KittenIV">'Sheet1'!$AW$14</definedName>
    <definedName name="limit">'Sheet1'!$X$15</definedName>
    <definedName name="meanadopt">'Sheet1'!$Q$5</definedName>
    <definedName name="MeanCatFactor">'Sheet1'!$AW$23</definedName>
    <definedName name="MeanCatReturn">'Sheet1'!$AW$22</definedName>
    <definedName name="meandeath">'Sheet1'!$M:$M</definedName>
    <definedName name="meanfac">'Sheet1'!$J$42</definedName>
    <definedName name="meanfactor">'Sheet1'!$I$42</definedName>
    <definedName name="meanhad">'Sheet1'!$K:$K</definedName>
    <definedName name="meanhave">'Sheet1'!$J:$J</definedName>
    <definedName name="meanreturn">'Sheet1'!$Q$36</definedName>
    <definedName name="phad">'Sheet1'!$D:$D</definedName>
    <definedName name="phave">'Sheet1'!$C:$C</definedName>
    <definedName name="Puppies">'Sheet1'!$C$5</definedName>
    <definedName name="puppiesbrought">'Sheet1'!$F$38</definedName>
    <definedName name="puppyiv">'Sheet1'!$X$11</definedName>
    <definedName name="quantity">'Sheet1'!$X$10</definedName>
    <definedName name="some">'Sheet1'!$X$17</definedName>
    <definedName name="time">'Sheet1'!$B:$B</definedName>
  </definedNames>
  <calcPr fullCalcOnLoad="1"/>
</workbook>
</file>

<file path=xl/sharedStrings.xml><?xml version="1.0" encoding="utf-8"?>
<sst xmlns="http://schemas.openxmlformats.org/spreadsheetml/2006/main" count="101" uniqueCount="74">
  <si>
    <t>fraction</t>
  </si>
  <si>
    <t>dt</t>
  </si>
  <si>
    <t>limit</t>
  </si>
  <si>
    <t>constant</t>
  </si>
  <si>
    <t>Time</t>
  </si>
  <si>
    <t>quantity</t>
  </si>
  <si>
    <t>some</t>
  </si>
  <si>
    <t>HAVE</t>
  </si>
  <si>
    <t>HAD</t>
  </si>
  <si>
    <t>CHANGE</t>
  </si>
  <si>
    <t>HAVE = HAD + CHANGE</t>
  </si>
  <si>
    <t>Starting time --&gt;</t>
  </si>
  <si>
    <t>&lt;-- Initial Value</t>
  </si>
  <si>
    <t>&lt;--enter the time step</t>
  </si>
  <si>
    <t>&lt;--enter what you "have" in model</t>
  </si>
  <si>
    <t>&lt;--define the change relationship here inside the parentheses, then copy down</t>
  </si>
  <si>
    <t>dogs</t>
  </si>
  <si>
    <t>Puppies</t>
  </si>
  <si>
    <t>Dogs</t>
  </si>
  <si>
    <t>dogs=had-have</t>
  </si>
  <si>
    <t>Mean Dogs</t>
  </si>
  <si>
    <t>puppies</t>
  </si>
  <si>
    <t>Aging Factor</t>
  </si>
  <si>
    <t>puppyiv</t>
  </si>
  <si>
    <t>dogiv</t>
  </si>
  <si>
    <t>PHAD</t>
  </si>
  <si>
    <t>PHAVE</t>
  </si>
  <si>
    <t>DHAVE</t>
  </si>
  <si>
    <t>DHAD</t>
  </si>
  <si>
    <t>AGING</t>
  </si>
  <si>
    <t>Aging in puppies</t>
  </si>
  <si>
    <t>Turning Mean</t>
  </si>
  <si>
    <t>TURNINGMEAN</t>
  </si>
  <si>
    <t>Puppies brought it per month ---&gt;</t>
  </si>
  <si>
    <t>Kittens</t>
  </si>
  <si>
    <t>meanfactor</t>
  </si>
  <si>
    <t>Mean dog death</t>
  </si>
  <si>
    <t>deathfac</t>
  </si>
  <si>
    <t>Adoption</t>
  </si>
  <si>
    <t>Adoption rate dog</t>
  </si>
  <si>
    <t>Change</t>
  </si>
  <si>
    <t>Mean Dog Adoption</t>
  </si>
  <si>
    <t>initial value of mean dogs</t>
  </si>
  <si>
    <t>Dog Adopt</t>
  </si>
  <si>
    <t>Mean Dog Return</t>
  </si>
  <si>
    <t>=</t>
  </si>
  <si>
    <t>Dog Death</t>
  </si>
  <si>
    <t>dog death</t>
  </si>
  <si>
    <t>kitten iv</t>
  </si>
  <si>
    <t>Kittens brought in per month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</si>
  <si>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</si>
  <si>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Adoption Rate dog</t>
  </si>
  <si>
    <t>Kittens Aging</t>
  </si>
  <si>
    <t>Cats</t>
  </si>
  <si>
    <t>Mean Cats</t>
  </si>
  <si>
    <t>Cat Adopt Rate</t>
  </si>
  <si>
    <t>Cat Adopted</t>
  </si>
  <si>
    <t>Mean Cats Adopted</t>
  </si>
  <si>
    <t>Mean Cat Death</t>
  </si>
  <si>
    <t>Mean Cat Return</t>
  </si>
  <si>
    <t>Quantity</t>
  </si>
  <si>
    <t>DT</t>
  </si>
  <si>
    <t>Kitten IV</t>
  </si>
  <si>
    <t>Fraction</t>
  </si>
  <si>
    <t>Limit</t>
  </si>
  <si>
    <t>Constant</t>
  </si>
  <si>
    <t>Some</t>
  </si>
  <si>
    <t>-</t>
  </si>
  <si>
    <t>Adoption Rate Cat</t>
  </si>
  <si>
    <t>Mean Cat Return Rate</t>
  </si>
  <si>
    <t>Mean Cat Factor</t>
  </si>
  <si>
    <t>Cat Death Factor</t>
  </si>
  <si>
    <t>Kittens Brought</t>
  </si>
  <si>
    <t>&lt;-- IV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</si>
</sst>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5125"/>
          <c:w val="0.7665"/>
          <c:h val="0.8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Puppies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Sheet1!$B$6:$B$31</c:f>
              <c:numCache/>
            </c:numRef>
          </c:xVal>
          <c:yVal>
            <c:numRef>
              <c:f>Sheet1!$C$6:$C$31</c:f>
              <c:numCache/>
            </c:numRef>
          </c:yVal>
          <c:smooth val="1"/>
        </c:ser>
        <c:axId val="20462029"/>
        <c:axId val="64679786"/>
      </c:scatterChart>
      <c:valAx>
        <c:axId val="20462029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9786"/>
        <c:crosses val="autoZero"/>
        <c:crossBetween val="midCat"/>
        <c:dispUnits/>
      </c:valAx>
      <c:valAx>
        <c:axId val="64679786"/>
        <c:scaling>
          <c:orientation val="minMax"/>
          <c:max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20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5785"/>
          <c:w val="0.18175"/>
          <c:h val="0.0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409575</xdr:colOff>
      <xdr:row>17</xdr:row>
      <xdr:rowOff>161925</xdr:rowOff>
    </xdr:from>
    <xdr:to>
      <xdr:col>27</xdr:col>
      <xdr:colOff>9525</xdr:colOff>
      <xdr:row>31</xdr:row>
      <xdr:rowOff>180975</xdr:rowOff>
    </xdr:to>
    <xdr:graphicFrame>
      <xdr:nvGraphicFramePr>
        <xdr:cNvPr id="1" name="Chart 2"/>
        <xdr:cNvGraphicFramePr/>
      </xdr:nvGraphicFramePr>
      <xdr:xfrm>
        <a:off x="25546050" y="3400425"/>
        <a:ext cx="4619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55"/>
  <sheetViews>
    <sheetView tabSelected="1" workbookViewId="0" topLeftCell="AE3">
      <selection activeCell="AM36" sqref="AM36"/>
    </sheetView>
  </sheetViews>
  <sheetFormatPr defaultColWidth="11.00390625" defaultRowHeight="15.75"/>
  <cols>
    <col min="1" max="1" width="21.125" style="0" customWidth="1"/>
    <col min="2" max="2" width="5.00390625" style="0" customWidth="1"/>
    <col min="3" max="3" width="12.50390625" style="1" customWidth="1"/>
    <col min="4" max="4" width="16.875" style="1" customWidth="1"/>
    <col min="5" max="5" width="14.50390625" style="1" customWidth="1"/>
    <col min="6" max="7" width="14.625" style="1" customWidth="1"/>
    <col min="8" max="8" width="13.625" style="1" customWidth="1"/>
    <col min="9" max="9" width="17.00390625" style="1" customWidth="1"/>
    <col min="10" max="10" width="12.00390625" style="1" customWidth="1"/>
    <col min="11" max="11" width="11.625" style="1" customWidth="1"/>
    <col min="12" max="12" width="17.625" style="1" customWidth="1"/>
    <col min="13" max="13" width="17.00390625" style="1" customWidth="1"/>
    <col min="14" max="14" width="18.375" style="1" customWidth="1"/>
    <col min="15" max="15" width="15.375" style="1" customWidth="1"/>
    <col min="16" max="16" width="13.625" style="1" customWidth="1"/>
    <col min="17" max="21" width="18.875" style="1" customWidth="1"/>
    <col min="25" max="25" width="10.875" style="4" customWidth="1"/>
    <col min="32" max="32" width="17.375" style="0" customWidth="1"/>
    <col min="33" max="33" width="16.00390625" style="0" customWidth="1"/>
    <col min="34" max="34" width="16.375" style="0" customWidth="1"/>
    <col min="35" max="35" width="17.125" style="0" customWidth="1"/>
    <col min="36" max="36" width="19.125" style="0" customWidth="1"/>
    <col min="37" max="37" width="20.375" style="0" customWidth="1"/>
    <col min="38" max="38" width="18.375" style="0" customWidth="1"/>
    <col min="39" max="39" width="20.375" style="0" customWidth="1"/>
    <col min="40" max="40" width="19.875" style="0" customWidth="1"/>
    <col min="41" max="41" width="21.875" style="0" customWidth="1"/>
    <col min="42" max="42" width="20.375" style="0" customWidth="1"/>
    <col min="43" max="43" width="19.625" style="0" customWidth="1"/>
    <col min="44" max="44" width="22.00390625" style="0" customWidth="1"/>
    <col min="45" max="45" width="17.625" style="0" customWidth="1"/>
    <col min="46" max="46" width="25.125" style="0" customWidth="1"/>
    <col min="47" max="47" width="26.875" style="0" customWidth="1"/>
    <col min="48" max="48" width="42.875" style="0" customWidth="1"/>
    <col min="49" max="49" width="27.875" style="0" customWidth="1"/>
    <col min="50" max="50" width="24.375" style="0" customWidth="1"/>
    <col min="51" max="51" width="18.875" style="0" customWidth="1"/>
    <col min="52" max="52" width="29.375" style="0" customWidth="1"/>
    <col min="53" max="54" width="27.00390625" style="0" customWidth="1"/>
    <col min="55" max="55" width="23.625" style="0" customWidth="1"/>
    <col min="56" max="56" width="45.00390625" style="0" customWidth="1"/>
    <col min="57" max="57" width="28.875" style="0" customWidth="1"/>
    <col min="58" max="58" width="21.125" style="0" customWidth="1"/>
    <col min="62" max="62" width="20.50390625" style="0" customWidth="1"/>
    <col min="63" max="63" width="19.875" style="0" customWidth="1"/>
    <col min="64" max="64" width="18.125" style="0" customWidth="1"/>
    <col min="65" max="65" width="22.625" style="0" customWidth="1"/>
    <col min="66" max="66" width="24.50390625" style="0" customWidth="1"/>
    <col min="88" max="88" width="19.125" style="0" customWidth="1"/>
    <col min="89" max="89" width="19.375" style="0" customWidth="1"/>
    <col min="90" max="90" width="14.625" style="0" customWidth="1"/>
    <col min="91" max="91" width="14.875" style="0" customWidth="1"/>
    <col min="92" max="92" width="32.625" style="0" customWidth="1"/>
    <col min="93" max="93" width="25.625" style="0" customWidth="1"/>
    <col min="99" max="99" width="13.125" style="0" customWidth="1"/>
    <col min="100" max="100" width="18.875" style="0" customWidth="1"/>
    <col min="103" max="103" width="17.625" style="0" customWidth="1"/>
    <col min="104" max="104" width="12.50390625" style="0" customWidth="1"/>
    <col min="106" max="106" width="20.375" style="0" customWidth="1"/>
  </cols>
  <sheetData>
    <row r="1" spans="1:25" ht="15">
      <c r="A1" s="9"/>
      <c r="B1" s="9"/>
      <c r="C1" s="9" t="s">
        <v>10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/>
      <c r="X1" s="4"/>
      <c r="Y1"/>
    </row>
    <row r="2" spans="1:2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U2"/>
      <c r="X2" s="4"/>
      <c r="Y2"/>
    </row>
    <row r="3" spans="1:94" s="3" customFormat="1" ht="15">
      <c r="A3" s="10"/>
      <c r="B3" s="10"/>
      <c r="C3" s="10" t="s">
        <v>26</v>
      </c>
      <c r="D3" s="10" t="s">
        <v>25</v>
      </c>
      <c r="E3" s="10" t="s">
        <v>29</v>
      </c>
      <c r="F3" s="10" t="s">
        <v>27</v>
      </c>
      <c r="G3" s="10" t="s">
        <v>28</v>
      </c>
      <c r="H3" s="10"/>
      <c r="I3" s="10" t="s">
        <v>32</v>
      </c>
      <c r="J3" s="10" t="s">
        <v>7</v>
      </c>
      <c r="K3" s="10" t="s">
        <v>8</v>
      </c>
      <c r="L3" s="10" t="s">
        <v>40</v>
      </c>
      <c r="M3" s="10" t="s">
        <v>9</v>
      </c>
      <c r="N3" s="10" t="s">
        <v>40</v>
      </c>
      <c r="O3" s="2" t="s">
        <v>38</v>
      </c>
      <c r="P3" s="2"/>
      <c r="Q3" s="2"/>
      <c r="R3" s="2"/>
      <c r="S3" s="2"/>
      <c r="T3" s="2"/>
      <c r="BF3" s="7"/>
      <c r="BZ3"/>
      <c r="CA3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U4"/>
      <c r="X4" s="4"/>
      <c r="Y4"/>
      <c r="AG4" t="s">
        <v>7</v>
      </c>
      <c r="AH4" t="s">
        <v>8</v>
      </c>
      <c r="AI4" t="s">
        <v>9</v>
      </c>
      <c r="AJ4" t="s">
        <v>7</v>
      </c>
      <c r="AK4" t="s">
        <v>8</v>
      </c>
      <c r="AL4" t="s">
        <v>9</v>
      </c>
      <c r="AM4" t="s">
        <v>9</v>
      </c>
      <c r="AN4" t="s">
        <v>9</v>
      </c>
      <c r="AO4" t="s">
        <v>7</v>
      </c>
      <c r="AP4" t="s">
        <v>8</v>
      </c>
      <c r="AQ4" t="s">
        <v>9</v>
      </c>
      <c r="AR4" t="s">
        <v>9</v>
      </c>
      <c r="AS4" t="s">
        <v>9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s="3" customFormat="1" ht="15">
      <c r="A5" s="10"/>
      <c r="B5" s="10" t="s">
        <v>4</v>
      </c>
      <c r="C5" s="10" t="s">
        <v>17</v>
      </c>
      <c r="D5" s="10" t="s">
        <v>21</v>
      </c>
      <c r="E5" s="10" t="s">
        <v>30</v>
      </c>
      <c r="F5" s="10" t="s">
        <v>18</v>
      </c>
      <c r="G5" s="10" t="s">
        <v>18</v>
      </c>
      <c r="H5" s="10" t="s">
        <v>43</v>
      </c>
      <c r="I5" s="10" t="s">
        <v>31</v>
      </c>
      <c r="J5" s="10" t="s">
        <v>20</v>
      </c>
      <c r="K5" s="10" t="s">
        <v>20</v>
      </c>
      <c r="L5" s="10" t="s">
        <v>41</v>
      </c>
      <c r="M5" s="10" t="s">
        <v>36</v>
      </c>
      <c r="N5" s="10" t="s">
        <v>44</v>
      </c>
      <c r="O5" s="1" t="s">
        <v>39</v>
      </c>
      <c r="P5" s="2" t="s">
        <v>46</v>
      </c>
      <c r="Q5" s="2">
        <v>0.2</v>
      </c>
      <c r="R5" s="2"/>
      <c r="S5" s="2"/>
      <c r="T5" s="2"/>
      <c r="X5" s="4"/>
      <c r="AG5" s="3" t="s">
        <v>34</v>
      </c>
      <c r="AH5" s="3" t="s">
        <v>34</v>
      </c>
      <c r="AI5" s="3" t="s">
        <v>52</v>
      </c>
      <c r="AJ5" s="3" t="s">
        <v>53</v>
      </c>
      <c r="AK5" s="3" t="s">
        <v>53</v>
      </c>
      <c r="AL5" s="3" t="s">
        <v>56</v>
      </c>
      <c r="AM5" s="3" t="s">
        <v>55</v>
      </c>
      <c r="AN5" s="3" t="s">
        <v>31</v>
      </c>
      <c r="AO5" s="3" t="s">
        <v>54</v>
      </c>
      <c r="AP5" s="3" t="s">
        <v>54</v>
      </c>
      <c r="AQ5" s="3" t="s">
        <v>57</v>
      </c>
      <c r="AR5" s="3" t="s">
        <v>58</v>
      </c>
      <c r="AS5" s="3" t="s">
        <v>59</v>
      </c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1:94" ht="15">
      <c r="A6" s="11" t="s">
        <v>11</v>
      </c>
      <c r="B6" s="9">
        <v>0</v>
      </c>
      <c r="C6" s="9">
        <f>puppyiv</f>
        <v>25</v>
      </c>
      <c r="D6" s="9" t="s">
        <v>12</v>
      </c>
      <c r="E6" s="9"/>
      <c r="F6" s="9">
        <f>dogiv</f>
        <v>0</v>
      </c>
      <c r="G6" s="9">
        <v>0</v>
      </c>
      <c r="H6" s="9"/>
      <c r="I6" s="9">
        <f aca="true" t="shared" si="0" ref="I6:I31">time*dhad*meanfac</f>
        <v>0</v>
      </c>
      <c r="J6" s="9">
        <f>ivmean</f>
        <v>0</v>
      </c>
      <c r="K6" s="9">
        <v>0</v>
      </c>
      <c r="L6" s="9">
        <f aca="true" t="shared" si="1" ref="L6:L31">meanadopt*meanhad</f>
        <v>0</v>
      </c>
      <c r="M6" s="9">
        <f aca="true" t="shared" si="2" ref="M6:M31">deathfac*meanhad</f>
        <v>0</v>
      </c>
      <c r="N6" s="9">
        <f aca="true" t="shared" si="3" ref="N6:N31">meanhad*meanreturn</f>
        <v>0</v>
      </c>
      <c r="P6" s="1">
        <v>21</v>
      </c>
      <c r="Q6" s="1">
        <v>1</v>
      </c>
      <c r="U6"/>
      <c r="X6" s="4"/>
      <c r="Y6"/>
      <c r="AG6">
        <f>KittenIV</f>
        <v>25</v>
      </c>
      <c r="AH6" t="s">
        <v>73</v>
      </c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9"/>
      <c r="B7" s="9">
        <v>1</v>
      </c>
      <c r="C7" s="9">
        <f>phad-aging+puppiesbrought</f>
        <v>47.22222222222223</v>
      </c>
      <c r="D7" s="9">
        <f>C6</f>
        <v>25</v>
      </c>
      <c r="E7" s="9">
        <f aca="true" t="shared" si="4" ref="E7:E31">time*phad*factor</f>
        <v>2.777777777777775</v>
      </c>
      <c r="F7" s="9">
        <f aca="true" t="shared" si="5" ref="F7:F31">(G6-(dogdeath*G6))-O7+aging</f>
        <v>2.777777777777775</v>
      </c>
      <c r="G7" s="9">
        <f aca="true" t="shared" si="6" ref="G7:G31">F6</f>
        <v>0</v>
      </c>
      <c r="H7" s="9">
        <f>O7</f>
        <v>0</v>
      </c>
      <c r="I7" s="9">
        <f t="shared" si="0"/>
        <v>0</v>
      </c>
      <c r="J7" s="9">
        <f aca="true" t="shared" si="7" ref="J7:J31">time*dog*meanfac-meandeath-meanadopt+meanreturn</f>
        <v>0.5555555555555552</v>
      </c>
      <c r="K7" s="9">
        <f aca="true" t="shared" si="8" ref="K7:K31">J6</f>
        <v>0</v>
      </c>
      <c r="L7" s="9">
        <f t="shared" si="1"/>
        <v>0</v>
      </c>
      <c r="M7" s="9">
        <f t="shared" si="2"/>
        <v>0</v>
      </c>
      <c r="N7" s="9">
        <f t="shared" si="3"/>
        <v>0</v>
      </c>
      <c r="O7" s="1">
        <f aca="true" t="shared" si="9" ref="O7:O31">IF((F6-F6*dogdeath)&lt;20,0,dogadoptt)</f>
        <v>0</v>
      </c>
      <c r="U7"/>
      <c r="V7" t="s">
        <v>15</v>
      </c>
      <c r="X7" s="4"/>
      <c r="Y7"/>
      <c r="AG7" s="9">
        <f>KittenHad-KittenAging+KittenBrought</f>
        <v>22.22222222222222</v>
      </c>
      <c r="AH7" s="9">
        <f>AG6</f>
        <v>25</v>
      </c>
      <c r="AI7" s="9">
        <f>time*KittenHad*KittenAgingFactor</f>
        <v>2.7777777777777777</v>
      </c>
      <c r="AJ7">
        <f>(AK6-CatDeathFactor*AK6)-AM7+CatAdoptionRate</f>
        <v>0</v>
      </c>
      <c r="AK7">
        <v>0</v>
      </c>
      <c r="AL7">
        <f>AM7</f>
        <v>0</v>
      </c>
      <c r="BK7" s="6"/>
      <c r="BZ7" s="3"/>
      <c r="CA7" s="3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</row>
    <row r="8" spans="1:94" ht="15">
      <c r="A8" s="9"/>
      <c r="B8" s="9">
        <v>2</v>
      </c>
      <c r="C8" s="9">
        <f>phad-aging+puppiesbrought</f>
        <v>61.72839506172841</v>
      </c>
      <c r="D8" s="9">
        <f>C7</f>
        <v>47.22222222222223</v>
      </c>
      <c r="E8" s="9">
        <f t="shared" si="4"/>
        <v>10.493827160493817</v>
      </c>
      <c r="F8" s="9">
        <f t="shared" si="5"/>
        <v>10.493827160493817</v>
      </c>
      <c r="G8" s="9">
        <f>F7</f>
        <v>2.777777777777775</v>
      </c>
      <c r="H8" s="9">
        <f aca="true" t="shared" si="10" ref="H8:H31">O8</f>
        <v>0</v>
      </c>
      <c r="I8" s="9">
        <f t="shared" si="0"/>
        <v>0.6111111111111105</v>
      </c>
      <c r="J8" s="9">
        <f>time*dog*meanfac-meandeath-meanadopt+meanreturn</f>
        <v>2.1141975308641956</v>
      </c>
      <c r="K8" s="9">
        <f t="shared" si="8"/>
        <v>0.5555555555555552</v>
      </c>
      <c r="L8" s="9">
        <f t="shared" si="1"/>
        <v>0.11111111111111105</v>
      </c>
      <c r="M8" s="9">
        <f t="shared" si="2"/>
        <v>0.4444444444444442</v>
      </c>
      <c r="N8" s="9">
        <f t="shared" si="3"/>
        <v>0.24999999999999986</v>
      </c>
      <c r="O8" s="1">
        <f t="shared" si="9"/>
        <v>0</v>
      </c>
      <c r="U8"/>
      <c r="X8" s="4"/>
      <c r="Y8"/>
      <c r="AG8" s="9">
        <f>KittenHad-KittenAging+KittenBrought</f>
        <v>17.28395061728395</v>
      </c>
      <c r="AH8" s="9">
        <f>AG7</f>
        <v>22.22222222222222</v>
      </c>
      <c r="AI8" s="9">
        <f>time*KittenHad*KittenAgingFactor</f>
        <v>4.938271604938271</v>
      </c>
      <c r="AJ8">
        <f>(AK7-CatDeathFactor*AK7)-AM8+CatAdoptionRate</f>
        <v>0</v>
      </c>
      <c r="AK8">
        <f>AJ7</f>
        <v>0</v>
      </c>
      <c r="AL8">
        <f aca="true" t="shared" si="11" ref="AL8:AL38">AM8</f>
        <v>0</v>
      </c>
      <c r="BF8" s="8"/>
      <c r="BZ8" s="4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9"/>
      <c r="B9" s="9">
        <v>3</v>
      </c>
      <c r="C9" s="9">
        <f aca="true" t="shared" si="12" ref="C9:C31">phad-aging+puppiesbrought</f>
        <v>66.15226337448563</v>
      </c>
      <c r="D9" s="9">
        <f aca="true" t="shared" si="13" ref="D9:D15">C8</f>
        <v>61.72839506172841</v>
      </c>
      <c r="E9" s="9">
        <f t="shared" si="4"/>
        <v>20.576131687242782</v>
      </c>
      <c r="F9" s="9">
        <f t="shared" si="5"/>
        <v>22.798353909465003</v>
      </c>
      <c r="G9" s="9">
        <f>F8</f>
        <v>10.493827160493817</v>
      </c>
      <c r="H9" s="9">
        <f t="shared" si="10"/>
        <v>0</v>
      </c>
      <c r="I9" s="9">
        <f t="shared" si="0"/>
        <v>3.4629629629629597</v>
      </c>
      <c r="J9" s="9">
        <f t="shared" si="7"/>
        <v>6.082098765432094</v>
      </c>
      <c r="K9" s="9">
        <f t="shared" si="8"/>
        <v>2.1141975308641956</v>
      </c>
      <c r="L9" s="9">
        <f t="shared" si="1"/>
        <v>0.42283950617283916</v>
      </c>
      <c r="M9" s="9">
        <f t="shared" si="2"/>
        <v>1.6913580246913567</v>
      </c>
      <c r="N9" s="9">
        <f t="shared" si="3"/>
        <v>0.9513888888888881</v>
      </c>
      <c r="O9" s="1">
        <f t="shared" si="9"/>
        <v>0</v>
      </c>
      <c r="U9"/>
      <c r="W9" t="s">
        <v>1</v>
      </c>
      <c r="X9" s="4">
        <v>1</v>
      </c>
      <c r="Y9" t="s">
        <v>13</v>
      </c>
      <c r="AG9" s="9">
        <f>KittenHad-KittenAging+KittenBrought</f>
        <v>11.522633744855966</v>
      </c>
      <c r="AH9" s="9">
        <f>AG8</f>
        <v>17.28395061728395</v>
      </c>
      <c r="AI9" s="9">
        <f>time*KittenHad*KittenAgingFactor</f>
        <v>5.761316872427983</v>
      </c>
      <c r="AJ9">
        <f>(AK8-CatDeathFactor*AK8)-AM9+CatAdoptionRate</f>
        <v>0</v>
      </c>
      <c r="AK9">
        <f aca="true" t="shared" si="14" ref="AK9:AK38">AJ8</f>
        <v>0</v>
      </c>
      <c r="AL9">
        <f t="shared" si="11"/>
        <v>0</v>
      </c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106" ht="15">
      <c r="A10" s="9"/>
      <c r="B10" s="9">
        <v>4</v>
      </c>
      <c r="C10" s="9">
        <f t="shared" si="12"/>
        <v>61.751257430269824</v>
      </c>
      <c r="D10" s="9">
        <f t="shared" si="13"/>
        <v>66.15226337448563</v>
      </c>
      <c r="E10" s="9">
        <f>time*phad*factor</f>
        <v>29.401005944215804</v>
      </c>
      <c r="F10" s="9">
        <f>(G9-(dogdeath*G9))-O10+aging</f>
        <v>37.79606767261086</v>
      </c>
      <c r="G10" s="9">
        <f t="shared" si="6"/>
        <v>22.798353909465003</v>
      </c>
      <c r="H10" s="9">
        <f t="shared" si="10"/>
        <v>0</v>
      </c>
      <c r="I10" s="9">
        <f t="shared" si="0"/>
        <v>10.0312757201646</v>
      </c>
      <c r="J10" s="9">
        <f t="shared" si="7"/>
        <v>12.014590763603103</v>
      </c>
      <c r="K10" s="9">
        <f t="shared" si="8"/>
        <v>6.082098765432094</v>
      </c>
      <c r="L10" s="9">
        <f t="shared" si="1"/>
        <v>1.216419753086419</v>
      </c>
      <c r="M10" s="9">
        <f t="shared" si="2"/>
        <v>4.865679012345676</v>
      </c>
      <c r="N10" s="9">
        <f t="shared" si="3"/>
        <v>2.7369444444444424</v>
      </c>
      <c r="O10" s="1">
        <f t="shared" si="9"/>
        <v>0</v>
      </c>
      <c r="S10" s="1">
        <f>IF(dog&lt;20,dogadoptt=0,dogadoptt)</f>
        <v>20</v>
      </c>
      <c r="U10"/>
      <c r="W10" t="s">
        <v>5</v>
      </c>
      <c r="X10" s="4" t="s">
        <v>16</v>
      </c>
      <c r="Y10" t="s">
        <v>14</v>
      </c>
      <c r="AG10" s="9">
        <f>KittenHad-KittenAging+KittenBrought</f>
        <v>6.4014631915866484</v>
      </c>
      <c r="AH10" s="9">
        <f aca="true" t="shared" si="15" ref="AH10:AH38">AG9</f>
        <v>11.522633744855966</v>
      </c>
      <c r="AI10" s="9">
        <f>time*KittenHad*KittenAgingFactor</f>
        <v>5.121170553269318</v>
      </c>
      <c r="AJ10">
        <f>(AK9-CatDeathFactor*AK9)-AM10+CatAdoptionRate</f>
        <v>0</v>
      </c>
      <c r="AK10">
        <f t="shared" si="14"/>
        <v>0</v>
      </c>
      <c r="AL10">
        <f t="shared" si="11"/>
        <v>0</v>
      </c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DB10" t="e">
        <f>IF(B1:N31&lt;0,0,B1:N31)</f>
        <v>#VALUE!</v>
      </c>
    </row>
    <row r="11" spans="1:94" ht="15">
      <c r="A11" s="9"/>
      <c r="B11" s="9">
        <v>5</v>
      </c>
      <c r="C11" s="9">
        <f t="shared" si="12"/>
        <v>52.44500330234218</v>
      </c>
      <c r="D11" s="9">
        <f>C10</f>
        <v>61.751257430269824</v>
      </c>
      <c r="E11" s="9">
        <f>time*phad*factor</f>
        <v>34.306254127927645</v>
      </c>
      <c r="F11" s="9">
        <f t="shared" si="5"/>
        <v>32.54493725549965</v>
      </c>
      <c r="G11" s="9">
        <f t="shared" si="6"/>
        <v>37.79606767261086</v>
      </c>
      <c r="H11" s="9">
        <f t="shared" si="10"/>
        <v>20</v>
      </c>
      <c r="I11" s="9">
        <f t="shared" si="0"/>
        <v>20.787837219935973</v>
      </c>
      <c r="J11" s="9">
        <f t="shared" si="7"/>
        <v>8.538042879642322</v>
      </c>
      <c r="K11" s="9">
        <f t="shared" si="8"/>
        <v>12.014590763603103</v>
      </c>
      <c r="L11" s="9">
        <f t="shared" si="1"/>
        <v>2.4029181527206207</v>
      </c>
      <c r="M11" s="9">
        <f t="shared" si="2"/>
        <v>9.611672610882483</v>
      </c>
      <c r="N11" s="9">
        <f t="shared" si="3"/>
        <v>5.406565843621396</v>
      </c>
      <c r="O11" s="1">
        <f t="shared" si="9"/>
        <v>20</v>
      </c>
      <c r="U11"/>
      <c r="W11" t="s">
        <v>23</v>
      </c>
      <c r="X11" s="4">
        <v>25</v>
      </c>
      <c r="Y11"/>
      <c r="AG11" s="9">
        <f>KittenHad-KittenAging+KittenBrought</f>
        <v>2.8450947518162883</v>
      </c>
      <c r="AH11" s="9">
        <f t="shared" si="15"/>
        <v>6.4014631915866484</v>
      </c>
      <c r="AI11" s="9">
        <f>time*KittenHad*KittenAgingFactor</f>
        <v>3.55636843977036</v>
      </c>
      <c r="AJ11">
        <f>(AK10-CatDeathFactor*AK10)-AM11+CatAdoptionRate</f>
        <v>0</v>
      </c>
      <c r="AK11">
        <f t="shared" si="14"/>
        <v>0</v>
      </c>
      <c r="AL11">
        <f t="shared" si="11"/>
        <v>0</v>
      </c>
      <c r="BF11" s="8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226" ht="15">
      <c r="A12" s="9"/>
      <c r="B12" s="9">
        <v>6</v>
      </c>
      <c r="C12" s="9">
        <f>phad-aging+puppiesbrought</f>
        <v>42.481667767447426</v>
      </c>
      <c r="D12" s="9">
        <f>C11</f>
        <v>52.44500330234218</v>
      </c>
      <c r="E12" s="9">
        <f t="shared" si="4"/>
        <v>34.96333553489475</v>
      </c>
      <c r="F12" s="9">
        <f>(G11-(dogdeath*G11))-O12+aging</f>
        <v>45.20018967298344</v>
      </c>
      <c r="G12" s="9">
        <f t="shared" si="6"/>
        <v>32.54493725549965</v>
      </c>
      <c r="H12" s="9">
        <f t="shared" si="10"/>
        <v>20</v>
      </c>
      <c r="I12" s="9">
        <f t="shared" si="0"/>
        <v>21.479658588629768</v>
      </c>
      <c r="J12" s="9">
        <f t="shared" si="7"/>
        <v>23.251690880455214</v>
      </c>
      <c r="K12" s="9">
        <f t="shared" si="8"/>
        <v>8.538042879642322</v>
      </c>
      <c r="L12" s="9">
        <f t="shared" si="1"/>
        <v>1.7076085759284645</v>
      </c>
      <c r="M12" s="9">
        <f t="shared" si="2"/>
        <v>6.830434303713858</v>
      </c>
      <c r="N12" s="9">
        <f t="shared" si="3"/>
        <v>3.842119295839045</v>
      </c>
      <c r="O12" s="1">
        <f t="shared" si="9"/>
        <v>20</v>
      </c>
      <c r="S12" s="1" t="s">
        <v>51</v>
      </c>
      <c r="T12" s="1">
        <v>20</v>
      </c>
      <c r="U12"/>
      <c r="X12" s="4"/>
      <c r="Y12"/>
      <c r="AG12" s="9">
        <f>KittenHad-KittenAging+KittenBrought</f>
        <v>0.9483649172720963</v>
      </c>
      <c r="AH12" s="9">
        <f t="shared" si="15"/>
        <v>2.8450947518162883</v>
      </c>
      <c r="AI12" s="9">
        <f>time*KittenHad*KittenAgingFactor</f>
        <v>1.896729834544192</v>
      </c>
      <c r="AJ12">
        <f>(AK11-CatDeathFactor*AK11)-AM12+CatAdoptionRate</f>
        <v>0</v>
      </c>
      <c r="AK12">
        <f t="shared" si="14"/>
        <v>0</v>
      </c>
      <c r="AL12">
        <f t="shared" si="11"/>
        <v>0</v>
      </c>
      <c r="AV12" t="s">
        <v>61</v>
      </c>
      <c r="AW12">
        <v>1</v>
      </c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HR12" t="s">
        <v>50</v>
      </c>
    </row>
    <row r="13" spans="1:94" ht="15">
      <c r="A13" s="9"/>
      <c r="B13" s="9">
        <v>7</v>
      </c>
      <c r="C13" s="9">
        <f t="shared" si="12"/>
        <v>34.44037061498835</v>
      </c>
      <c r="D13" s="9">
        <f t="shared" si="13"/>
        <v>42.481667767447426</v>
      </c>
      <c r="E13" s="9">
        <f t="shared" si="4"/>
        <v>33.04129715245907</v>
      </c>
      <c r="F13" s="9">
        <f t="shared" si="5"/>
        <v>39.07724695685879</v>
      </c>
      <c r="G13" s="9">
        <f>F12</f>
        <v>45.20018967298344</v>
      </c>
      <c r="H13" s="9">
        <f>O13</f>
        <v>20</v>
      </c>
      <c r="I13" s="9">
        <f t="shared" si="0"/>
        <v>34.804146048197246</v>
      </c>
      <c r="J13" s="9">
        <f t="shared" si="7"/>
        <v>11.738127452417093</v>
      </c>
      <c r="K13" s="9">
        <f t="shared" si="8"/>
        <v>23.251690880455214</v>
      </c>
      <c r="L13" s="9">
        <f t="shared" si="1"/>
        <v>4.650338176091043</v>
      </c>
      <c r="M13" s="9">
        <f t="shared" si="2"/>
        <v>18.60135270436417</v>
      </c>
      <c r="N13" s="9">
        <f t="shared" si="3"/>
        <v>10.463260896204847</v>
      </c>
      <c r="O13" s="1">
        <f t="shared" si="9"/>
        <v>20</v>
      </c>
      <c r="U13"/>
      <c r="W13" t="s">
        <v>0</v>
      </c>
      <c r="X13" s="4">
        <f>Y13/20</f>
        <v>0.55</v>
      </c>
      <c r="Y13">
        <v>11</v>
      </c>
      <c r="AG13" s="9">
        <f>KittenHad-KittenAging+KittenBrought</f>
        <v>0.2107477593937992</v>
      </c>
      <c r="AH13" s="9">
        <f t="shared" si="15"/>
        <v>0.9483649172720963</v>
      </c>
      <c r="AI13" s="9">
        <f>time*KittenHad*KittenAgingFactor</f>
        <v>0.7376171578782971</v>
      </c>
      <c r="AJ13">
        <f>(AK12-CatDeathFactor*AK12)-AM13+CatAdoptionRate</f>
        <v>0</v>
      </c>
      <c r="AK13">
        <f>AJ12</f>
        <v>0</v>
      </c>
      <c r="AL13">
        <f t="shared" si="11"/>
        <v>0</v>
      </c>
      <c r="AV13" t="s">
        <v>60</v>
      </c>
      <c r="AW13" t="s">
        <v>53</v>
      </c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9"/>
      <c r="B14" s="9">
        <v>8</v>
      </c>
      <c r="C14" s="9">
        <f t="shared" si="12"/>
        <v>28.826707846109848</v>
      </c>
      <c r="D14" s="9">
        <f>C13</f>
        <v>34.44037061498835</v>
      </c>
      <c r="E14" s="9">
        <f t="shared" si="4"/>
        <v>30.613662768878505</v>
      </c>
      <c r="F14" s="9">
        <f>(G13-(dogdeath*G13))-O14+aging</f>
        <v>46.77381450726526</v>
      </c>
      <c r="G14" s="9">
        <f t="shared" si="6"/>
        <v>39.07724695685879</v>
      </c>
      <c r="H14" s="9">
        <f t="shared" si="10"/>
        <v>20</v>
      </c>
      <c r="I14" s="9">
        <f t="shared" si="0"/>
        <v>34.38797732203573</v>
      </c>
      <c r="J14" s="9">
        <f t="shared" si="7"/>
        <v>32.02045480445975</v>
      </c>
      <c r="K14" s="9">
        <f t="shared" si="8"/>
        <v>11.738127452417093</v>
      </c>
      <c r="L14" s="9">
        <f t="shared" si="1"/>
        <v>2.3476254904834186</v>
      </c>
      <c r="M14" s="9">
        <f t="shared" si="2"/>
        <v>9.390501961933674</v>
      </c>
      <c r="N14" s="9">
        <f t="shared" si="3"/>
        <v>5.282157353587692</v>
      </c>
      <c r="O14" s="1">
        <f t="shared" si="9"/>
        <v>20</v>
      </c>
      <c r="U14"/>
      <c r="W14" t="s">
        <v>22</v>
      </c>
      <c r="X14" s="5">
        <f>0.111111111111111</f>
        <v>0.111111111111111</v>
      </c>
      <c r="Y14"/>
      <c r="AG14" s="9">
        <f>KittenHad-KittenAging+KittenBrought</f>
        <v>0.023416417710422133</v>
      </c>
      <c r="AH14" s="9">
        <f t="shared" si="15"/>
        <v>0.2107477593937992</v>
      </c>
      <c r="AI14" s="9">
        <f>time*KittenHad*KittenAgingFactor</f>
        <v>0.18733134168337706</v>
      </c>
      <c r="AJ14">
        <f>(AK13-CatDeathFactor*AK13)-AM14+CatAdoptionRate</f>
        <v>0</v>
      </c>
      <c r="AK14">
        <f t="shared" si="14"/>
        <v>0</v>
      </c>
      <c r="AL14">
        <f t="shared" si="11"/>
        <v>0</v>
      </c>
      <c r="AV14" t="s">
        <v>62</v>
      </c>
      <c r="AW14">
        <v>25</v>
      </c>
      <c r="BF14" s="8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9"/>
      <c r="B15" s="9">
        <v>9</v>
      </c>
      <c r="C15" s="9">
        <f t="shared" si="12"/>
        <v>25.00000000000003</v>
      </c>
      <c r="D15" s="9">
        <f t="shared" si="13"/>
        <v>28.826707846109848</v>
      </c>
      <c r="E15" s="9">
        <f>time*phad*factor</f>
        <v>28.82670784610982</v>
      </c>
      <c r="F15" s="9">
        <f>(G14-(dogdeath*G14))-O15+aging</f>
        <v>40.08850541159685</v>
      </c>
      <c r="G15" s="9">
        <f t="shared" si="6"/>
        <v>46.77381450726526</v>
      </c>
      <c r="H15" s="9">
        <f t="shared" si="10"/>
        <v>20</v>
      </c>
      <c r="I15" s="9">
        <f t="shared" si="0"/>
        <v>46.3060763621926</v>
      </c>
      <c r="J15" s="9">
        <f t="shared" si="7"/>
        <v>14.321256513913077</v>
      </c>
      <c r="K15" s="9">
        <f t="shared" si="8"/>
        <v>32.02045480445975</v>
      </c>
      <c r="L15" s="9">
        <f t="shared" si="1"/>
        <v>6.404090960891951</v>
      </c>
      <c r="M15" s="9">
        <f t="shared" si="2"/>
        <v>25.616363843567804</v>
      </c>
      <c r="N15" s="9">
        <f t="shared" si="3"/>
        <v>14.40920466200689</v>
      </c>
      <c r="O15" s="1">
        <f t="shared" si="9"/>
        <v>20</v>
      </c>
      <c r="U15"/>
      <c r="W15" t="s">
        <v>2</v>
      </c>
      <c r="X15" s="4">
        <v>20</v>
      </c>
      <c r="Y15"/>
      <c r="AG15" s="9">
        <f>KittenHad-KittenAging+KittenBrought</f>
        <v>0</v>
      </c>
      <c r="AH15" s="9">
        <f t="shared" si="15"/>
        <v>0.023416417710422133</v>
      </c>
      <c r="AI15" s="9">
        <f>time*KittenHad*KittenAgingFactor</f>
        <v>0.023416417710422133</v>
      </c>
      <c r="AJ15">
        <f>(AK14-CatDeathFactor*AK14)-AM15+CatAdoptionRate</f>
        <v>0</v>
      </c>
      <c r="AK15">
        <f t="shared" si="14"/>
        <v>0</v>
      </c>
      <c r="AL15">
        <f t="shared" si="11"/>
        <v>0</v>
      </c>
      <c r="AV15" t="s">
        <v>63</v>
      </c>
      <c r="AW15" t="s">
        <v>67</v>
      </c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106" ht="15">
      <c r="A16" s="9"/>
      <c r="B16" s="9">
        <v>10</v>
      </c>
      <c r="C16" s="9">
        <f t="shared" si="12"/>
        <v>22.22222222222225</v>
      </c>
      <c r="D16" s="9">
        <f aca="true" t="shared" si="16" ref="D16:D31">C15</f>
        <v>25.00000000000003</v>
      </c>
      <c r="E16" s="9">
        <f t="shared" si="4"/>
        <v>27.77777777777778</v>
      </c>
      <c r="F16" s="9">
        <f t="shared" si="5"/>
        <v>45.196829383589986</v>
      </c>
      <c r="G16" s="9">
        <f t="shared" si="6"/>
        <v>40.08850541159685</v>
      </c>
      <c r="H16" s="9">
        <f t="shared" si="10"/>
        <v>20</v>
      </c>
      <c r="I16" s="9">
        <f t="shared" si="0"/>
        <v>44.09735595275654</v>
      </c>
      <c r="J16" s="9">
        <f t="shared" si="7"/>
        <v>38.509507110818525</v>
      </c>
      <c r="K16" s="9">
        <f t="shared" si="8"/>
        <v>14.321256513913077</v>
      </c>
      <c r="L16" s="9">
        <f t="shared" si="1"/>
        <v>2.8642513027826157</v>
      </c>
      <c r="M16" s="9">
        <f t="shared" si="2"/>
        <v>11.457005211130463</v>
      </c>
      <c r="N16" s="9">
        <f t="shared" si="3"/>
        <v>6.444565431260885</v>
      </c>
      <c r="O16" s="1">
        <f t="shared" si="9"/>
        <v>20</v>
      </c>
      <c r="U16"/>
      <c r="W16" t="s">
        <v>3</v>
      </c>
      <c r="X16" s="4">
        <v>0.5</v>
      </c>
      <c r="Y16"/>
      <c r="AG16" s="9">
        <f>KittenHad-KittenAging+KittenBrought</f>
        <v>0</v>
      </c>
      <c r="AH16" s="9">
        <f>AG15</f>
        <v>0</v>
      </c>
      <c r="AI16" s="9">
        <f>time*KittenHad*KittenAgingFactor</f>
        <v>0</v>
      </c>
      <c r="AJ16">
        <f>(AK15-CatDeathFactor*AK15)-AM16+CatAdoptionRate</f>
        <v>0</v>
      </c>
      <c r="AK16">
        <f t="shared" si="14"/>
        <v>0</v>
      </c>
      <c r="AL16">
        <f t="shared" si="11"/>
        <v>0</v>
      </c>
      <c r="AV16" t="s">
        <v>22</v>
      </c>
      <c r="AW16">
        <f>1/9</f>
        <v>0.1111111111111111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X16" s="1"/>
      <c r="CY16" s="1"/>
      <c r="CZ16" s="1"/>
      <c r="DA16" s="1"/>
      <c r="DB16" s="1"/>
    </row>
    <row r="17" spans="1:106" ht="15">
      <c r="A17" s="9"/>
      <c r="B17" s="9">
        <v>11</v>
      </c>
      <c r="C17" s="9">
        <f t="shared" si="12"/>
        <v>20.061728395061753</v>
      </c>
      <c r="D17" s="9">
        <f t="shared" si="16"/>
        <v>22.22222222222225</v>
      </c>
      <c r="E17" s="9">
        <f t="shared" si="4"/>
        <v>27.160493827160497</v>
      </c>
      <c r="F17" s="9">
        <f t="shared" si="5"/>
        <v>39.23129815643797</v>
      </c>
      <c r="G17" s="9">
        <f t="shared" si="6"/>
        <v>45.196829383589986</v>
      </c>
      <c r="H17" s="9">
        <f t="shared" si="10"/>
        <v>20</v>
      </c>
      <c r="I17" s="9">
        <f t="shared" si="0"/>
        <v>54.688163554143884</v>
      </c>
      <c r="J17" s="9">
        <f t="shared" si="7"/>
        <v>16.912265080635127</v>
      </c>
      <c r="K17" s="9">
        <f t="shared" si="8"/>
        <v>38.509507110818525</v>
      </c>
      <c r="L17" s="9">
        <f t="shared" si="1"/>
        <v>7.701901422163705</v>
      </c>
      <c r="M17" s="9">
        <f t="shared" si="2"/>
        <v>30.80760568865482</v>
      </c>
      <c r="N17" s="9">
        <f t="shared" si="3"/>
        <v>17.329278199868337</v>
      </c>
      <c r="O17" s="1">
        <f t="shared" si="9"/>
        <v>20</v>
      </c>
      <c r="U17"/>
      <c r="W17" t="s">
        <v>6</v>
      </c>
      <c r="X17" s="4">
        <v>0.002</v>
      </c>
      <c r="Y17"/>
      <c r="AG17" s="9">
        <f>KittenHad-KittenAging+KittenBrought</f>
        <v>0</v>
      </c>
      <c r="AH17" s="9">
        <f t="shared" si="15"/>
        <v>0</v>
      </c>
      <c r="AI17" s="9">
        <f>time*KittenHad*KittenAgingFactor</f>
        <v>0</v>
      </c>
      <c r="AJ17">
        <f>(AK16-CatDeathFactor*AK16)-AM17+CatAdoptionRate</f>
        <v>0</v>
      </c>
      <c r="AK17">
        <f t="shared" si="14"/>
        <v>0</v>
      </c>
      <c r="AL17">
        <f t="shared" si="11"/>
        <v>0</v>
      </c>
      <c r="AV17" t="s">
        <v>64</v>
      </c>
      <c r="AW17" t="s">
        <v>67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X17" s="1"/>
      <c r="CY17" s="1"/>
      <c r="CZ17" s="1"/>
      <c r="DA17" s="1"/>
      <c r="DB17" s="1"/>
    </row>
    <row r="18" spans="1:106" ht="15">
      <c r="A18" s="9"/>
      <c r="B18" s="9">
        <v>12</v>
      </c>
      <c r="C18" s="9">
        <f>phad-aging+puppiesbrought</f>
        <v>18.312757201646107</v>
      </c>
      <c r="D18" s="9">
        <f t="shared" si="16"/>
        <v>20.061728395061753</v>
      </c>
      <c r="E18" s="9">
        <f>time*phad*factor</f>
        <v>26.748971193415645</v>
      </c>
      <c r="F18" s="9">
        <f>(G17-(dogdeath*G17))-O18+aging</f>
        <v>42.90643470028763</v>
      </c>
      <c r="G18" s="9">
        <f t="shared" si="6"/>
        <v>39.23129815643797</v>
      </c>
      <c r="H18" s="9">
        <f t="shared" si="10"/>
        <v>20</v>
      </c>
      <c r="I18" s="9">
        <f t="shared" si="0"/>
        <v>51.785313566498125</v>
      </c>
      <c r="J18" s="9">
        <f t="shared" si="7"/>
        <v>43.356681739871576</v>
      </c>
      <c r="K18" s="9">
        <f t="shared" si="8"/>
        <v>16.912265080635127</v>
      </c>
      <c r="L18" s="9">
        <f t="shared" si="1"/>
        <v>3.3824530161270254</v>
      </c>
      <c r="M18" s="9">
        <f t="shared" si="2"/>
        <v>13.529812064508102</v>
      </c>
      <c r="N18" s="9">
        <f t="shared" si="3"/>
        <v>7.6105192862858075</v>
      </c>
      <c r="O18" s="1">
        <f t="shared" si="9"/>
        <v>20</v>
      </c>
      <c r="U18"/>
      <c r="X18" s="4"/>
      <c r="Y18"/>
      <c r="AG18" s="9">
        <f>KittenHad-KittenAging+KittenBrought</f>
        <v>0</v>
      </c>
      <c r="AH18" s="9">
        <f t="shared" si="15"/>
        <v>0</v>
      </c>
      <c r="AI18" s="9">
        <f>time*KittenHad*KittenAgingFactor</f>
        <v>0</v>
      </c>
      <c r="AJ18">
        <f>(AK17-CatDeathFactor*AK17)-AM18+CatAdoptionRate</f>
        <v>0</v>
      </c>
      <c r="AK18">
        <f t="shared" si="14"/>
        <v>0</v>
      </c>
      <c r="AL18">
        <f t="shared" si="11"/>
        <v>0</v>
      </c>
      <c r="AV18" t="s">
        <v>65</v>
      </c>
      <c r="AW18" t="s">
        <v>67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X18" s="1"/>
      <c r="CY18" s="1"/>
      <c r="CZ18" s="1"/>
      <c r="DA18" s="1"/>
      <c r="DB18" s="1"/>
    </row>
    <row r="19" spans="1:106" ht="15">
      <c r="A19" s="9"/>
      <c r="B19" s="9">
        <v>13</v>
      </c>
      <c r="C19" s="9">
        <f t="shared" si="12"/>
        <v>16.860996799268428</v>
      </c>
      <c r="D19" s="9">
        <f t="shared" si="16"/>
        <v>18.312757201646107</v>
      </c>
      <c r="E19" s="9">
        <f t="shared" si="4"/>
        <v>26.45176040237768</v>
      </c>
      <c r="F19" s="9">
        <f t="shared" si="5"/>
        <v>37.83679892752806</v>
      </c>
      <c r="G19" s="9">
        <f t="shared" si="6"/>
        <v>42.90643470028763</v>
      </c>
      <c r="H19" s="9">
        <f t="shared" si="10"/>
        <v>20</v>
      </c>
      <c r="I19" s="9">
        <f t="shared" si="0"/>
        <v>61.356201621411316</v>
      </c>
      <c r="J19" s="9">
        <f t="shared" si="7"/>
        <v>19.67127707446786</v>
      </c>
      <c r="K19" s="9">
        <f t="shared" si="8"/>
        <v>43.356681739871576</v>
      </c>
      <c r="L19" s="9">
        <f t="shared" si="1"/>
        <v>8.671336347974316</v>
      </c>
      <c r="M19" s="9">
        <f t="shared" si="2"/>
        <v>34.685345391897265</v>
      </c>
      <c r="N19" s="9">
        <f t="shared" si="3"/>
        <v>19.51050678294221</v>
      </c>
      <c r="O19" s="1">
        <f t="shared" si="9"/>
        <v>20</v>
      </c>
      <c r="U19"/>
      <c r="X19" s="4"/>
      <c r="Y19"/>
      <c r="AG19" s="9">
        <f>KittenHad-KittenAging+KittenBrought</f>
        <v>0</v>
      </c>
      <c r="AH19" s="9">
        <f t="shared" si="15"/>
        <v>0</v>
      </c>
      <c r="AI19" s="9">
        <f>time*KittenHad*KittenAgingFactor</f>
        <v>0</v>
      </c>
      <c r="AJ19">
        <f>(AK18-CatDeathFactor*AK18)-AM19+CatAdoptionRate</f>
        <v>0</v>
      </c>
      <c r="AK19">
        <f t="shared" si="14"/>
        <v>0</v>
      </c>
      <c r="AL19">
        <f t="shared" si="11"/>
        <v>0</v>
      </c>
      <c r="AV19" t="s">
        <v>66</v>
      </c>
      <c r="AW19" t="s">
        <v>67</v>
      </c>
      <c r="BI19" s="4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X19" s="1"/>
      <c r="CY19" s="1"/>
      <c r="CZ19" s="1"/>
      <c r="DA19" s="1"/>
      <c r="DB19" s="1"/>
    </row>
    <row r="20" spans="1:106" ht="15">
      <c r="A20" s="9"/>
      <c r="B20" s="9">
        <v>14</v>
      </c>
      <c r="C20" s="9">
        <f t="shared" si="12"/>
        <v>15.632779555962014</v>
      </c>
      <c r="D20" s="9">
        <f t="shared" si="16"/>
        <v>16.860996799268428</v>
      </c>
      <c r="E20" s="9">
        <f t="shared" si="4"/>
        <v>26.228217243306414</v>
      </c>
      <c r="F20" s="9">
        <f>(G19-(dogdeath*G19))-O20+aging</f>
        <v>40.55336500353653</v>
      </c>
      <c r="G20" s="9">
        <f t="shared" si="6"/>
        <v>37.83679892752806</v>
      </c>
      <c r="H20" s="9">
        <f t="shared" si="10"/>
        <v>20</v>
      </c>
      <c r="I20" s="9">
        <f t="shared" si="0"/>
        <v>58.268670348393215</v>
      </c>
      <c r="J20" s="9">
        <f t="shared" si="7"/>
        <v>46.96516044587196</v>
      </c>
      <c r="K20" s="9">
        <f>J19</f>
        <v>19.67127707446786</v>
      </c>
      <c r="L20" s="9">
        <f t="shared" si="1"/>
        <v>3.9342554148935722</v>
      </c>
      <c r="M20" s="9">
        <f t="shared" si="2"/>
        <v>15.737021659574289</v>
      </c>
      <c r="N20" s="9">
        <f t="shared" si="3"/>
        <v>8.852074683510537</v>
      </c>
      <c r="O20" s="1">
        <f t="shared" si="9"/>
        <v>20</v>
      </c>
      <c r="Q20" s="1" t="s">
        <v>47</v>
      </c>
      <c r="T20" s="1">
        <v>34</v>
      </c>
      <c r="U20"/>
      <c r="X20" s="4"/>
      <c r="Y20"/>
      <c r="AG20" s="9">
        <f>KittenHad-KittenAging+KittenBrought</f>
        <v>0</v>
      </c>
      <c r="AH20" s="9">
        <f t="shared" si="15"/>
        <v>0</v>
      </c>
      <c r="AI20" s="9">
        <f>time*KittenHad*KittenAgingFactor</f>
        <v>0</v>
      </c>
      <c r="AJ20">
        <f>(AK19-CatDeathFactor*AK19)-AM20+CatAdoptionRate</f>
        <v>0</v>
      </c>
      <c r="AK20">
        <f t="shared" si="14"/>
        <v>0</v>
      </c>
      <c r="AL20">
        <f t="shared" si="11"/>
        <v>0</v>
      </c>
      <c r="AV20" t="s">
        <v>68</v>
      </c>
      <c r="BI20" s="4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X20" s="1"/>
      <c r="CY20" s="1"/>
      <c r="CZ20" s="1"/>
      <c r="DA20" s="1"/>
      <c r="DB20" s="1"/>
    </row>
    <row r="21" spans="1:106" ht="15">
      <c r="A21" s="9"/>
      <c r="B21" s="9">
        <v>15</v>
      </c>
      <c r="C21" s="9">
        <f t="shared" si="12"/>
        <v>14.578146962692017</v>
      </c>
      <c r="D21" s="9">
        <f t="shared" si="16"/>
        <v>15.632779555962014</v>
      </c>
      <c r="E21" s="9">
        <f t="shared" si="4"/>
        <v>26.054632593269996</v>
      </c>
      <c r="F21" s="9">
        <f t="shared" si="5"/>
        <v>36.32407173529244</v>
      </c>
      <c r="G21" s="9">
        <f t="shared" si="6"/>
        <v>40.55336500353653</v>
      </c>
      <c r="H21" s="9">
        <f t="shared" si="10"/>
        <v>20</v>
      </c>
      <c r="I21" s="9">
        <f t="shared" si="0"/>
        <v>66.91305225583527</v>
      </c>
      <c r="J21" s="9">
        <f t="shared" si="7"/>
        <v>22.61259000653496</v>
      </c>
      <c r="K21" s="9">
        <f t="shared" si="8"/>
        <v>46.96516044587196</v>
      </c>
      <c r="L21" s="9">
        <f t="shared" si="1"/>
        <v>9.393032089174392</v>
      </c>
      <c r="M21" s="9">
        <f t="shared" si="2"/>
        <v>37.57212835669757</v>
      </c>
      <c r="N21" s="9">
        <f t="shared" si="3"/>
        <v>21.134322200642384</v>
      </c>
      <c r="O21" s="1">
        <f t="shared" si="9"/>
        <v>20</v>
      </c>
      <c r="U21"/>
      <c r="X21" s="4"/>
      <c r="Y21"/>
      <c r="AD21" t="s">
        <v>19</v>
      </c>
      <c r="AG21" s="9">
        <f>KittenHad-KittenAging+KittenBrought</f>
        <v>0</v>
      </c>
      <c r="AH21" s="9">
        <f t="shared" si="15"/>
        <v>0</v>
      </c>
      <c r="AI21" s="9">
        <f>time*KittenHad*KittenAgingFactor</f>
        <v>0</v>
      </c>
      <c r="AJ21">
        <f>(AK20-CatDeathFactor*AK20)-AM21+CatAdoptionRate</f>
        <v>0</v>
      </c>
      <c r="AK21">
        <f t="shared" si="14"/>
        <v>0</v>
      </c>
      <c r="AL21">
        <f t="shared" si="11"/>
        <v>0</v>
      </c>
      <c r="AV21" t="s">
        <v>72</v>
      </c>
      <c r="BI21" s="4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X21" s="1"/>
      <c r="CY21" s="1"/>
      <c r="CZ21" s="1"/>
      <c r="DA21" s="1"/>
      <c r="DB21" s="1"/>
    </row>
    <row r="22" spans="1:106" ht="15">
      <c r="A22" s="9"/>
      <c r="B22" s="9">
        <v>16</v>
      </c>
      <c r="C22" s="9">
        <f t="shared" si="12"/>
        <v>13.66144125123957</v>
      </c>
      <c r="D22" s="9">
        <f t="shared" si="16"/>
        <v>14.578146962692017</v>
      </c>
      <c r="E22" s="9">
        <f>time*phad*factor</f>
        <v>25.916705711452448</v>
      </c>
      <c r="F22" s="9">
        <f t="shared" si="5"/>
        <v>38.35939771428167</v>
      </c>
      <c r="G22" s="9">
        <f t="shared" si="6"/>
        <v>36.32407173529244</v>
      </c>
      <c r="H22" s="9">
        <f t="shared" si="10"/>
        <v>20</v>
      </c>
      <c r="I22" s="9">
        <f t="shared" si="0"/>
        <v>63.930366254114695</v>
      </c>
      <c r="J22" s="9">
        <f t="shared" si="7"/>
        <v>49.67246797190778</v>
      </c>
      <c r="K22" s="9">
        <f t="shared" si="8"/>
        <v>22.61259000653496</v>
      </c>
      <c r="L22" s="9">
        <f t="shared" si="1"/>
        <v>4.522518001306992</v>
      </c>
      <c r="M22" s="9">
        <f t="shared" si="2"/>
        <v>18.090072005227967</v>
      </c>
      <c r="N22" s="9">
        <f t="shared" si="3"/>
        <v>10.175665502940731</v>
      </c>
      <c r="O22" s="1">
        <f t="shared" si="9"/>
        <v>20</v>
      </c>
      <c r="U22"/>
      <c r="X22" s="4"/>
      <c r="Y22"/>
      <c r="AG22" s="9">
        <f>KittenHad-KittenAging+KittenBrought</f>
        <v>0</v>
      </c>
      <c r="AH22" s="9">
        <f t="shared" si="15"/>
        <v>0</v>
      </c>
      <c r="AI22" s="9">
        <f>time*KittenHad*KittenAgingFactor</f>
        <v>0</v>
      </c>
      <c r="AJ22">
        <f>(AK21-CatDeathFactor*AK21)-AM22+CatAdoptionRate</f>
        <v>0</v>
      </c>
      <c r="AK22">
        <f t="shared" si="14"/>
        <v>0</v>
      </c>
      <c r="AL22">
        <f t="shared" si="11"/>
        <v>0</v>
      </c>
      <c r="AV22" t="s">
        <v>69</v>
      </c>
      <c r="BI22" s="4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X22" s="1"/>
      <c r="CY22" s="1"/>
      <c r="CZ22" s="1"/>
      <c r="DA22" s="1"/>
      <c r="DB22" s="1"/>
    </row>
    <row r="23" spans="1:106" ht="15">
      <c r="A23" s="9"/>
      <c r="B23" s="9">
        <v>17</v>
      </c>
      <c r="C23" s="9">
        <f t="shared" si="12"/>
        <v>12.856496665564855</v>
      </c>
      <c r="D23" s="9">
        <f t="shared" si="16"/>
        <v>13.66144125123957</v>
      </c>
      <c r="E23" s="9">
        <f t="shared" si="4"/>
        <v>25.804944585674715</v>
      </c>
      <c r="F23" s="9">
        <f t="shared" si="5"/>
        <v>34.86420197390866</v>
      </c>
      <c r="G23" s="9">
        <f t="shared" si="6"/>
        <v>38.35939771428167</v>
      </c>
      <c r="H23" s="9">
        <f t="shared" si="10"/>
        <v>20</v>
      </c>
      <c r="I23" s="9">
        <f t="shared" si="0"/>
        <v>71.73207372570671</v>
      </c>
      <c r="J23" s="9">
        <f t="shared" si="7"/>
        <v>25.708083313682963</v>
      </c>
      <c r="K23" s="9">
        <f t="shared" si="8"/>
        <v>49.67246797190778</v>
      </c>
      <c r="L23" s="9">
        <f t="shared" si="1"/>
        <v>9.934493594381557</v>
      </c>
      <c r="M23" s="9">
        <f t="shared" si="2"/>
        <v>39.73797437752623</v>
      </c>
      <c r="N23" s="9">
        <f t="shared" si="3"/>
        <v>22.3526105873585</v>
      </c>
      <c r="O23" s="1">
        <f t="shared" si="9"/>
        <v>20</v>
      </c>
      <c r="U23"/>
      <c r="X23" s="4"/>
      <c r="Y23"/>
      <c r="AG23" s="9">
        <f>KittenHad-KittenAging+KittenBrought</f>
        <v>0</v>
      </c>
      <c r="AH23" s="9">
        <f t="shared" si="15"/>
        <v>0</v>
      </c>
      <c r="AI23" s="9">
        <f>time*KittenHad*KittenAgingFactor</f>
        <v>0</v>
      </c>
      <c r="AJ23">
        <f>(AK22-CatDeathFactor*AK22)-AM23+CatAdoptionRate</f>
        <v>0</v>
      </c>
      <c r="AK23">
        <f>AJ22</f>
        <v>0</v>
      </c>
      <c r="AL23">
        <f t="shared" si="11"/>
        <v>0</v>
      </c>
      <c r="AV23" t="s">
        <v>70</v>
      </c>
      <c r="BI23" s="4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X23" s="1"/>
      <c r="CY23" s="1"/>
      <c r="CZ23" s="1"/>
      <c r="DA23" s="1"/>
      <c r="DB23" s="1"/>
    </row>
    <row r="24" spans="1:106" ht="15">
      <c r="A24" s="9"/>
      <c r="B24" s="9">
        <v>18</v>
      </c>
      <c r="C24" s="9">
        <f t="shared" si="12"/>
        <v>12.14350333443517</v>
      </c>
      <c r="D24" s="9">
        <f t="shared" si="16"/>
        <v>12.856496665564855</v>
      </c>
      <c r="E24" s="9">
        <f t="shared" si="4"/>
        <v>25.712993331129685</v>
      </c>
      <c r="F24" s="9">
        <f t="shared" si="5"/>
        <v>36.40051150255502</v>
      </c>
      <c r="G24" s="9">
        <f>F23</f>
        <v>34.86420197390866</v>
      </c>
      <c r="H24" s="9">
        <f t="shared" si="10"/>
        <v>20</v>
      </c>
      <c r="I24" s="9">
        <f t="shared" si="0"/>
        <v>69.03111990833916</v>
      </c>
      <c r="J24" s="9">
        <f t="shared" si="7"/>
        <v>51.75654612411256</v>
      </c>
      <c r="K24" s="9">
        <f t="shared" si="8"/>
        <v>25.708083313682963</v>
      </c>
      <c r="L24" s="9">
        <f t="shared" si="1"/>
        <v>5.141616662736593</v>
      </c>
      <c r="M24" s="9">
        <f t="shared" si="2"/>
        <v>20.56646665094637</v>
      </c>
      <c r="N24" s="9">
        <f t="shared" si="3"/>
        <v>11.568637491157334</v>
      </c>
      <c r="O24" s="1">
        <f t="shared" si="9"/>
        <v>20</v>
      </c>
      <c r="U24"/>
      <c r="X24" s="4"/>
      <c r="Y24"/>
      <c r="AG24" s="9">
        <f>KittenHad-KittenAging+KittenBrought</f>
        <v>0</v>
      </c>
      <c r="AH24" s="9">
        <f t="shared" si="15"/>
        <v>0</v>
      </c>
      <c r="AI24" s="9">
        <f>time*KittenHad*KittenAgingFactor</f>
        <v>0</v>
      </c>
      <c r="AJ24">
        <f>(AK23-CatDeathFactor*AK23)-AM24+CatAdoptionRate</f>
        <v>0</v>
      </c>
      <c r="AK24">
        <f t="shared" si="14"/>
        <v>0</v>
      </c>
      <c r="AL24">
        <f t="shared" si="11"/>
        <v>0</v>
      </c>
      <c r="AV24" t="s">
        <v>71</v>
      </c>
      <c r="BI24" s="4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R24" t="s">
        <v>45</v>
      </c>
      <c r="CX24" s="1"/>
      <c r="CY24" s="1"/>
      <c r="CZ24" s="1"/>
      <c r="DA24" s="1"/>
      <c r="DB24" s="1"/>
    </row>
    <row r="25" spans="1:106" ht="15">
      <c r="A25" s="9"/>
      <c r="B25" s="9">
        <v>19</v>
      </c>
      <c r="C25" s="9">
        <f t="shared" si="12"/>
        <v>11.507218517294284</v>
      </c>
      <c r="D25" s="9">
        <f t="shared" si="16"/>
        <v>12.14350333443517</v>
      </c>
      <c r="E25" s="9">
        <f t="shared" si="4"/>
        <v>25.636284817140886</v>
      </c>
      <c r="F25" s="9">
        <f t="shared" si="5"/>
        <v>33.52764639626781</v>
      </c>
      <c r="G25" s="9">
        <f t="shared" si="6"/>
        <v>36.40051150255502</v>
      </c>
      <c r="H25" s="9">
        <f t="shared" si="10"/>
        <v>20</v>
      </c>
      <c r="I25" s="9">
        <f t="shared" si="0"/>
        <v>76.07706904033999</v>
      </c>
      <c r="J25" s="9">
        <f t="shared" si="7"/>
        <v>28.917544068909685</v>
      </c>
      <c r="K25" s="9">
        <f t="shared" si="8"/>
        <v>51.75654612411256</v>
      </c>
      <c r="L25" s="9">
        <f t="shared" si="1"/>
        <v>10.351309224822513</v>
      </c>
      <c r="M25" s="9">
        <f t="shared" si="2"/>
        <v>41.40523689929005</v>
      </c>
      <c r="N25" s="9">
        <f t="shared" si="3"/>
        <v>23.29044575585065</v>
      </c>
      <c r="O25" s="1">
        <f t="shared" si="9"/>
        <v>20</v>
      </c>
      <c r="U25"/>
      <c r="X25" s="4"/>
      <c r="Y25"/>
      <c r="AG25" s="9">
        <f>KittenHad-KittenAging+KittenBrought</f>
        <v>0</v>
      </c>
      <c r="AH25" s="9">
        <f t="shared" si="15"/>
        <v>0</v>
      </c>
      <c r="AI25" s="9">
        <f>time*KittenHad*KittenAgingFactor</f>
        <v>0</v>
      </c>
      <c r="AJ25">
        <f>(AK24-CatDeathFactor*AK24)-AM25+CatAdoptionRate</f>
        <v>0</v>
      </c>
      <c r="AK25">
        <f t="shared" si="14"/>
        <v>0</v>
      </c>
      <c r="AL25">
        <f t="shared" si="11"/>
        <v>0</v>
      </c>
      <c r="BI25" s="5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X25" s="1"/>
      <c r="CY25" s="1"/>
      <c r="CZ25" s="1"/>
      <c r="DA25" s="1"/>
      <c r="DB25" s="1"/>
    </row>
    <row r="26" spans="1:106" ht="15">
      <c r="A26" s="9"/>
      <c r="B26" s="9">
        <v>20</v>
      </c>
      <c r="C26" s="9">
        <f t="shared" si="12"/>
        <v>10.935621812195901</v>
      </c>
      <c r="D26" s="9">
        <f t="shared" si="16"/>
        <v>11.507218517294284</v>
      </c>
      <c r="E26" s="9">
        <f t="shared" si="4"/>
        <v>25.571596705098383</v>
      </c>
      <c r="F26" s="9">
        <f t="shared" si="5"/>
        <v>34.6920059071424</v>
      </c>
      <c r="G26" s="9">
        <f t="shared" si="6"/>
        <v>33.52764639626781</v>
      </c>
      <c r="H26" s="9">
        <f t="shared" si="10"/>
        <v>20</v>
      </c>
      <c r="I26" s="9">
        <f t="shared" si="0"/>
        <v>73.76082207178919</v>
      </c>
      <c r="J26" s="9">
        <f t="shared" si="7"/>
        <v>53.43837774058553</v>
      </c>
      <c r="K26" s="9">
        <f t="shared" si="8"/>
        <v>28.917544068909685</v>
      </c>
      <c r="L26" s="9">
        <f t="shared" si="1"/>
        <v>5.783508813781937</v>
      </c>
      <c r="M26" s="9">
        <f t="shared" si="2"/>
        <v>23.13403525512775</v>
      </c>
      <c r="N26" s="9">
        <f t="shared" si="3"/>
        <v>13.012894831009358</v>
      </c>
      <c r="O26" s="1">
        <f t="shared" si="9"/>
        <v>20</v>
      </c>
      <c r="U26"/>
      <c r="X26" s="4"/>
      <c r="Y26"/>
      <c r="AG26" s="9">
        <f>KittenHad-KittenAging+KittenBrought</f>
        <v>0</v>
      </c>
      <c r="AH26" s="9">
        <f t="shared" si="15"/>
        <v>0</v>
      </c>
      <c r="AI26" s="9">
        <f>time*KittenHad*KittenAgingFactor</f>
        <v>0</v>
      </c>
      <c r="AJ26">
        <f>(AK25-CatDeathFactor*AK25)-AM26+CatAdoptionRate</f>
        <v>0</v>
      </c>
      <c r="AK26">
        <f t="shared" si="14"/>
        <v>0</v>
      </c>
      <c r="AL26">
        <f t="shared" si="11"/>
        <v>0</v>
      </c>
      <c r="BI26" s="4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X26" s="1"/>
      <c r="CY26" s="1"/>
      <c r="CZ26" s="1"/>
      <c r="DA26" s="1"/>
      <c r="DB26" s="1"/>
    </row>
    <row r="27" spans="1:106" ht="15">
      <c r="A27" s="9"/>
      <c r="B27" s="9">
        <v>21</v>
      </c>
      <c r="C27" s="9">
        <f t="shared" si="12"/>
        <v>10.419170917072162</v>
      </c>
      <c r="D27" s="9">
        <f t="shared" si="16"/>
        <v>10.935621812195901</v>
      </c>
      <c r="E27" s="9">
        <f t="shared" si="4"/>
        <v>25.51645089512374</v>
      </c>
      <c r="F27" s="9">
        <f t="shared" si="5"/>
        <v>32.33856801213799</v>
      </c>
      <c r="G27" s="9">
        <f t="shared" si="6"/>
        <v>34.6920059071424</v>
      </c>
      <c r="H27" s="9">
        <f t="shared" si="10"/>
        <v>20</v>
      </c>
      <c r="I27" s="9">
        <f t="shared" si="0"/>
        <v>80.13853364549895</v>
      </c>
      <c r="J27" s="9">
        <f t="shared" si="7"/>
        <v>32.20138991557033</v>
      </c>
      <c r="K27" s="9">
        <f t="shared" si="8"/>
        <v>53.43837774058553</v>
      </c>
      <c r="L27" s="9">
        <f t="shared" si="1"/>
        <v>10.687675548117106</v>
      </c>
      <c r="M27" s="9">
        <f t="shared" si="2"/>
        <v>42.750702192468424</v>
      </c>
      <c r="N27" s="9">
        <f t="shared" si="3"/>
        <v>24.04726998326349</v>
      </c>
      <c r="O27" s="1">
        <f t="shared" si="9"/>
        <v>20</v>
      </c>
      <c r="U27"/>
      <c r="X27" s="4"/>
      <c r="Y27"/>
      <c r="AG27" s="9">
        <f>KittenHad-KittenAging+KittenBrought</f>
        <v>0</v>
      </c>
      <c r="AH27" s="9">
        <f t="shared" si="15"/>
        <v>0</v>
      </c>
      <c r="AI27" s="9">
        <f>time*KittenHad*KittenAgingFactor</f>
        <v>0</v>
      </c>
      <c r="AJ27">
        <f>(AK26-CatDeathFactor*AK26)-AM27+CatAdoptionRate</f>
        <v>0</v>
      </c>
      <c r="AK27">
        <f>AJ26</f>
        <v>0</v>
      </c>
      <c r="AL27">
        <f t="shared" si="11"/>
        <v>0</v>
      </c>
      <c r="BI27" s="4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X27" s="1"/>
      <c r="CY27" s="1"/>
      <c r="CZ27" s="1"/>
      <c r="DA27" s="1"/>
      <c r="DB27" s="1"/>
    </row>
    <row r="28" spans="1:106" ht="15">
      <c r="A28" s="9"/>
      <c r="B28" s="9">
        <v>22</v>
      </c>
      <c r="C28" s="9">
        <f t="shared" si="12"/>
        <v>9.950086453118015</v>
      </c>
      <c r="D28" s="9">
        <f t="shared" si="16"/>
        <v>10.419170917072162</v>
      </c>
      <c r="E28" s="9">
        <f t="shared" si="4"/>
        <v>25.469084463954147</v>
      </c>
      <c r="F28" s="9">
        <f t="shared" si="5"/>
        <v>33.22268918966807</v>
      </c>
      <c r="G28" s="9">
        <f t="shared" si="6"/>
        <v>32.33856801213799</v>
      </c>
      <c r="H28" s="9">
        <f t="shared" si="10"/>
        <v>20</v>
      </c>
      <c r="I28" s="9">
        <f t="shared" si="0"/>
        <v>78.25933458937394</v>
      </c>
      <c r="J28" s="9">
        <f t="shared" si="7"/>
        <v>54.887795906540454</v>
      </c>
      <c r="K28" s="9">
        <f t="shared" si="8"/>
        <v>32.20138991557033</v>
      </c>
      <c r="L28" s="9">
        <f t="shared" si="1"/>
        <v>6.440277983114067</v>
      </c>
      <c r="M28" s="9">
        <f t="shared" si="2"/>
        <v>25.761111932456267</v>
      </c>
      <c r="N28" s="9">
        <f t="shared" si="3"/>
        <v>14.49062546200665</v>
      </c>
      <c r="O28" s="1">
        <f t="shared" si="9"/>
        <v>20</v>
      </c>
      <c r="U28"/>
      <c r="X28" s="4"/>
      <c r="Y28"/>
      <c r="AG28" s="9">
        <f>KittenHad-KittenAging+KittenBrought</f>
        <v>0</v>
      </c>
      <c r="AH28" s="9">
        <f t="shared" si="15"/>
        <v>0</v>
      </c>
      <c r="AI28" s="9">
        <f>time*KittenHad*KittenAgingFactor</f>
        <v>0</v>
      </c>
      <c r="AJ28">
        <f>(AK27-CatDeathFactor*AK27)-AM28+CatAdoptionRate</f>
        <v>0</v>
      </c>
      <c r="AK28">
        <f t="shared" si="14"/>
        <v>0</v>
      </c>
      <c r="AL28">
        <f t="shared" si="11"/>
        <v>0</v>
      </c>
      <c r="BI28" s="4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X28" s="1"/>
      <c r="CY28" s="1"/>
      <c r="CZ28" s="1"/>
      <c r="DA28" s="1"/>
      <c r="DB28" s="1"/>
    </row>
    <row r="29" spans="1:106" ht="15">
      <c r="A29" s="9"/>
      <c r="B29" s="9">
        <v>23</v>
      </c>
      <c r="C29" s="9">
        <f t="shared" si="12"/>
        <v>9.522087739594227</v>
      </c>
      <c r="D29" s="9">
        <f t="shared" si="16"/>
        <v>9.950086453118015</v>
      </c>
      <c r="E29" s="9">
        <f t="shared" si="4"/>
        <v>25.427998713523788</v>
      </c>
      <c r="F29" s="9">
        <f t="shared" si="5"/>
        <v>31.29885312323418</v>
      </c>
      <c r="G29" s="9">
        <f t="shared" si="6"/>
        <v>33.22268918966807</v>
      </c>
      <c r="H29" s="9">
        <f t="shared" si="10"/>
        <v>20</v>
      </c>
      <c r="I29" s="9">
        <f t="shared" si="0"/>
        <v>84.05340364986021</v>
      </c>
      <c r="J29" s="9">
        <f t="shared" si="7"/>
        <v>35.52586167655012</v>
      </c>
      <c r="K29" s="9">
        <f t="shared" si="8"/>
        <v>54.887795906540454</v>
      </c>
      <c r="L29" s="9">
        <f t="shared" si="1"/>
        <v>10.977559181308091</v>
      </c>
      <c r="M29" s="9">
        <f t="shared" si="2"/>
        <v>43.910236725232366</v>
      </c>
      <c r="N29" s="9">
        <f t="shared" si="3"/>
        <v>24.699508157943203</v>
      </c>
      <c r="O29" s="1">
        <f t="shared" si="9"/>
        <v>20</v>
      </c>
      <c r="U29"/>
      <c r="X29" s="4"/>
      <c r="Y29"/>
      <c r="AG29" s="9">
        <f>KittenHad-KittenAging+KittenBrought</f>
        <v>0</v>
      </c>
      <c r="AH29" s="9">
        <f t="shared" si="15"/>
        <v>0</v>
      </c>
      <c r="AI29" s="9">
        <f>time*KittenHad*KittenAgingFactor</f>
        <v>0</v>
      </c>
      <c r="AJ29">
        <f>(AK28-CatDeathFactor*AK28)-AM29+CatAdoptionRate</f>
        <v>0</v>
      </c>
      <c r="AK29">
        <f t="shared" si="14"/>
        <v>0</v>
      </c>
      <c r="AL29">
        <f t="shared" si="11"/>
        <v>0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X29" s="1"/>
      <c r="CY29" s="1"/>
      <c r="CZ29" s="1"/>
      <c r="DA29" s="1"/>
      <c r="DB29" s="1"/>
    </row>
    <row r="30" spans="1:106" ht="15">
      <c r="A30" s="9"/>
      <c r="B30" s="9">
        <v>24</v>
      </c>
      <c r="C30" s="9">
        <f t="shared" si="12"/>
        <v>9.129853767342983</v>
      </c>
      <c r="D30" s="9">
        <f t="shared" si="16"/>
        <v>9.522087739594227</v>
      </c>
      <c r="E30" s="9">
        <f t="shared" si="4"/>
        <v>25.392233972251244</v>
      </c>
      <c r="F30" s="9">
        <f t="shared" si="5"/>
        <v>31.9703853239857</v>
      </c>
      <c r="G30" s="9">
        <f t="shared" si="6"/>
        <v>31.29885312323418</v>
      </c>
      <c r="H30" s="9">
        <f t="shared" si="10"/>
        <v>20</v>
      </c>
      <c r="I30" s="9">
        <f t="shared" si="0"/>
        <v>82.62897224533823</v>
      </c>
      <c r="J30" s="9">
        <f t="shared" si="7"/>
        <v>56.231127914082144</v>
      </c>
      <c r="K30" s="9">
        <f t="shared" si="8"/>
        <v>35.52586167655012</v>
      </c>
      <c r="L30" s="9">
        <f t="shared" si="1"/>
        <v>7.105172335310025</v>
      </c>
      <c r="M30" s="9">
        <f t="shared" si="2"/>
        <v>28.4206893412401</v>
      </c>
      <c r="N30" s="9">
        <f t="shared" si="3"/>
        <v>15.986637754447555</v>
      </c>
      <c r="O30" s="1">
        <f t="shared" si="9"/>
        <v>20</v>
      </c>
      <c r="U30"/>
      <c r="X30" s="4"/>
      <c r="Y30"/>
      <c r="AG30" s="9">
        <f>KittenHad-KittenAging+KittenBrought</f>
        <v>0</v>
      </c>
      <c r="AH30" s="9">
        <f t="shared" si="15"/>
        <v>0</v>
      </c>
      <c r="AI30" s="9">
        <f>time*KittenHad*KittenAgingFactor</f>
        <v>0</v>
      </c>
      <c r="AJ30">
        <f>(AK29-CatDeathFactor*AK29)-AM30+CatAdoptionRate</f>
        <v>0</v>
      </c>
      <c r="AK30">
        <f t="shared" si="14"/>
        <v>0</v>
      </c>
      <c r="AL30">
        <f t="shared" si="11"/>
        <v>0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X30" s="1"/>
      <c r="CY30" s="1"/>
      <c r="CZ30" s="1"/>
      <c r="DA30" s="1"/>
      <c r="DB30" s="1"/>
    </row>
    <row r="31" spans="1:106" ht="15">
      <c r="A31" s="9"/>
      <c r="B31" s="9">
        <v>25</v>
      </c>
      <c r="C31" s="9">
        <f t="shared" si="12"/>
        <v>8.769148858056948</v>
      </c>
      <c r="D31" s="9">
        <f t="shared" si="16"/>
        <v>9.129853767342983</v>
      </c>
      <c r="E31" s="9">
        <f t="shared" si="4"/>
        <v>25.360704909286035</v>
      </c>
      <c r="F31" s="9">
        <f>(G30-(dogdeath*G30))-O31+aging</f>
        <v>30.39978740787338</v>
      </c>
      <c r="G31" s="9">
        <f t="shared" si="6"/>
        <v>31.9703853239857</v>
      </c>
      <c r="H31" s="9">
        <f t="shared" si="10"/>
        <v>20</v>
      </c>
      <c r="I31" s="9">
        <f t="shared" si="0"/>
        <v>87.91855964096067</v>
      </c>
      <c r="J31" s="9">
        <f t="shared" si="7"/>
        <v>38.86451304038607</v>
      </c>
      <c r="K31" s="9">
        <f t="shared" si="8"/>
        <v>56.231127914082144</v>
      </c>
      <c r="L31" s="9">
        <f t="shared" si="1"/>
        <v>11.246225582816429</v>
      </c>
      <c r="M31" s="9">
        <f t="shared" si="2"/>
        <v>44.984902331265715</v>
      </c>
      <c r="N31" s="9">
        <f t="shared" si="3"/>
        <v>25.304007561336967</v>
      </c>
      <c r="O31" s="1">
        <f t="shared" si="9"/>
        <v>20</v>
      </c>
      <c r="U31"/>
      <c r="X31" s="4"/>
      <c r="Y31"/>
      <c r="AG31" s="9">
        <f>KittenHad-KittenAging+KittenBrought</f>
        <v>0</v>
      </c>
      <c r="AH31" s="9">
        <f t="shared" si="15"/>
        <v>0</v>
      </c>
      <c r="AI31" s="9">
        <f>time*KittenHad*KittenAgingFactor</f>
        <v>0</v>
      </c>
      <c r="AJ31">
        <f>(AK30-CatDeathFactor*AK30)-AM31+CatAdoptionRate</f>
        <v>0</v>
      </c>
      <c r="AK31">
        <f t="shared" si="14"/>
        <v>0</v>
      </c>
      <c r="AL31">
        <f t="shared" si="11"/>
        <v>0</v>
      </c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X31" s="1"/>
      <c r="CY31" s="1"/>
      <c r="CZ31" s="1"/>
      <c r="DA31" s="1"/>
      <c r="DB31" s="1"/>
    </row>
    <row r="32" spans="33:94" ht="15">
      <c r="AG32" s="9">
        <f>KittenHad-KittenAging+KittenBrought</f>
        <v>0</v>
      </c>
      <c r="AH32" s="9">
        <f t="shared" si="15"/>
        <v>0</v>
      </c>
      <c r="AI32" s="9">
        <f>time*KittenHad*KittenAgingFactor</f>
        <v>0</v>
      </c>
      <c r="AJ32">
        <f>(AK31-CatDeathFactor*AK31)-AM32+CatAdoptionRate</f>
        <v>0</v>
      </c>
      <c r="AK32">
        <f t="shared" si="14"/>
        <v>0</v>
      </c>
      <c r="AL32">
        <f t="shared" si="11"/>
        <v>0</v>
      </c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33:94" ht="15">
      <c r="AG33" s="9">
        <f>KittenHad-KittenAging+KittenBrought</f>
        <v>0</v>
      </c>
      <c r="AH33" s="9">
        <f t="shared" si="15"/>
        <v>0</v>
      </c>
      <c r="AI33" s="9">
        <f>time*KittenHad*KittenAgingFactor</f>
        <v>0</v>
      </c>
      <c r="AJ33">
        <f>(AK32-CatDeathFactor*AK32)-AM33+CatAdoptionRate</f>
        <v>0</v>
      </c>
      <c r="AK33">
        <f t="shared" si="14"/>
        <v>0</v>
      </c>
      <c r="AL33">
        <f t="shared" si="11"/>
        <v>0</v>
      </c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3:94" ht="15">
      <c r="M34" s="1" t="s">
        <v>37</v>
      </c>
      <c r="N34" s="1">
        <v>0.8</v>
      </c>
      <c r="AG34" s="9">
        <f>KittenHad-KittenAging+KittenBrought</f>
        <v>0</v>
      </c>
      <c r="AH34" s="9">
        <f t="shared" si="15"/>
        <v>0</v>
      </c>
      <c r="AI34" s="9">
        <f>time*KittenHad*KittenAgingFactor</f>
        <v>0</v>
      </c>
      <c r="AJ34">
        <f>(AK33-CatDeathFactor*AK33)-AM34+CatAdoptionRate</f>
        <v>0</v>
      </c>
      <c r="AK34">
        <f t="shared" si="14"/>
        <v>0</v>
      </c>
      <c r="AL34">
        <f t="shared" si="11"/>
        <v>0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33:94" ht="15">
      <c r="AG35" s="9">
        <f>KittenHad-KittenAging+KittenBrought</f>
        <v>0</v>
      </c>
      <c r="AH35" s="9">
        <f t="shared" si="15"/>
        <v>0</v>
      </c>
      <c r="AI35" s="9">
        <f>time*KittenHad*KittenAgingFactor</f>
        <v>0</v>
      </c>
      <c r="AJ35">
        <f>(AK34-CatDeathFactor*AK34)-AM35+CatAdoptionRate</f>
        <v>0</v>
      </c>
      <c r="AK35">
        <f t="shared" si="14"/>
        <v>0</v>
      </c>
      <c r="AL35">
        <f t="shared" si="11"/>
        <v>0</v>
      </c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4:94" ht="15">
      <c r="D36" s="1">
        <f>AVERAGE(D7:D31)</f>
        <v>26.113679968572146</v>
      </c>
      <c r="J36" s="1" t="s">
        <v>42</v>
      </c>
      <c r="K36" s="1">
        <v>0</v>
      </c>
      <c r="O36" s="1" t="s">
        <v>44</v>
      </c>
      <c r="Q36" s="1">
        <v>0.45</v>
      </c>
      <c r="X36" t="s">
        <v>24</v>
      </c>
      <c r="Y36" s="4">
        <v>0</v>
      </c>
      <c r="AG36" s="9">
        <f>KittenHad-KittenAging+KittenBrought</f>
        <v>0</v>
      </c>
      <c r="AH36" s="9">
        <f t="shared" si="15"/>
        <v>0</v>
      </c>
      <c r="AI36" s="9">
        <f>time*KittenHad*KittenAgingFactor</f>
        <v>0</v>
      </c>
      <c r="AJ36">
        <f>(AK35-CatDeathFactor*AK35)-AM36+CatAdoptionRate</f>
        <v>0</v>
      </c>
      <c r="AK36">
        <f t="shared" si="14"/>
        <v>0</v>
      </c>
      <c r="AL36">
        <f t="shared" si="11"/>
        <v>0</v>
      </c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33:94" ht="15">
      <c r="AG37" s="9">
        <f>KittenHad-KittenAging+KittenBrought</f>
        <v>0</v>
      </c>
      <c r="AH37" s="9">
        <f t="shared" si="15"/>
        <v>0</v>
      </c>
      <c r="AI37" s="9">
        <f>time*KittenHad*KittenAgingFactor</f>
        <v>0</v>
      </c>
      <c r="AJ37">
        <f>(AK36-CatDeathFactor*AK36)-AM37+CatAdoptionRate</f>
        <v>0</v>
      </c>
      <c r="AK37">
        <f t="shared" si="14"/>
        <v>0</v>
      </c>
      <c r="AL37">
        <f t="shared" si="11"/>
        <v>0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3:94" ht="15">
      <c r="C38" s="1" t="s">
        <v>45</v>
      </c>
      <c r="E38" s="1" t="s">
        <v>33</v>
      </c>
      <c r="F38" s="1">
        <v>25</v>
      </c>
      <c r="AG38" s="9">
        <f>KittenHad-KittenAging+KittenBrought</f>
        <v>0</v>
      </c>
      <c r="AH38" s="9">
        <f t="shared" si="15"/>
        <v>0</v>
      </c>
      <c r="AI38" s="9">
        <f>time*KittenHad*KittenAgingFactor</f>
        <v>0</v>
      </c>
      <c r="AJ38">
        <f>(AK37-CatDeathFactor*AK37)-AM38+CatAdoptionRate</f>
        <v>0</v>
      </c>
      <c r="AK38">
        <f t="shared" si="14"/>
        <v>0</v>
      </c>
      <c r="AL38">
        <f t="shared" si="11"/>
        <v>0</v>
      </c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42" spans="9:10" ht="15">
      <c r="I42" s="1" t="s">
        <v>35</v>
      </c>
      <c r="J42" s="1">
        <v>0.11</v>
      </c>
    </row>
    <row r="51" spans="47:50" ht="15">
      <c r="AU51" t="s">
        <v>49</v>
      </c>
      <c r="AX51">
        <v>59</v>
      </c>
    </row>
    <row r="55" spans="45:46" ht="15">
      <c r="AS55" t="s">
        <v>48</v>
      </c>
      <c r="AT55">
        <v>27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shodor</cp:lastModifiedBy>
  <dcterms:created xsi:type="dcterms:W3CDTF">2013-10-09T03:31:31Z</dcterms:created>
  <dcterms:modified xsi:type="dcterms:W3CDTF">2015-12-19T17:36:40Z</dcterms:modified>
  <cp:category/>
  <cp:version/>
  <cp:contentType/>
  <cp:contentStatus/>
</cp:coreProperties>
</file>